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780" windowWidth="34200" windowHeight="21460" tabRatio="600" firstSheet="0" activeTab="1" autoFilterDateGrouping="1"/>
  </bookViews>
  <sheets>
    <sheet name="Cover" sheetId="1" state="visible" r:id="rId1"/>
    <sheet name="Inputs" sheetId="2" state="visible" r:id="rId2"/>
    <sheet name="Forecast" sheetId="3" state="visible" r:id="rId3"/>
    <sheet name="DCF" sheetId="4" state="visible" r:id="rId4"/>
    <sheet name="Valuation Summary" sheetId="5" state="visible" r:id="rId5"/>
    <sheet name="Sensitivity" sheetId="6" state="visible" r:id="rId6"/>
  </sheets>
  <definedNames/>
  <calcPr calcId="18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%"/>
    <numFmt numFmtId="167" formatCode="0.0000"/>
  </numFmts>
  <fonts count="9">
    <font>
      <name val="TimesNewRomanPSMT"/>
      <family val="2"/>
      <color theme="1"/>
      <sz val="12"/>
    </font>
    <font>
      <name val="TimesNewRomanPSMT"/>
      <family val="2"/>
      <color theme="1"/>
      <sz val="12"/>
    </font>
    <font>
      <name val="TimesNewRomanPSMT"/>
      <family val="2"/>
      <color theme="1"/>
      <sz val="14"/>
    </font>
    <font>
      <name val="TimesNewRomanPSMT"/>
      <family val="2"/>
      <sz val="8"/>
    </font>
    <font>
      <name val="TimesNewRomanPSMT"/>
      <b val="1"/>
      <color theme="1"/>
      <sz val="12"/>
    </font>
    <font>
      <b val="1"/>
    </font>
    <font>
      <b val="1"/>
      <sz val="14"/>
    </font>
    <font>
      <i val="1"/>
    </font>
    <font>
      <b val="1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1" fillId="0" borderId="0"/>
    <xf numFmtId="9" fontId="1" fillId="0" borderId="0"/>
  </cellStyleXfs>
  <cellXfs count="24">
    <xf numFmtId="0" fontId="0" fillId="0" borderId="0" pivotButton="0" quotePrefix="0" xfId="0"/>
    <xf numFmtId="0" fontId="2" fillId="0" borderId="0" pivotButton="0" quotePrefix="0" xfId="0"/>
    <xf numFmtId="14" fontId="2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1"/>
    <xf numFmtId="165" fontId="0" fillId="0" borderId="0" pivotButton="0" quotePrefix="0" xfId="0"/>
    <xf numFmtId="10" fontId="0" fillId="0" borderId="0" pivotButton="0" quotePrefix="0" xfId="0"/>
    <xf numFmtId="166" fontId="0" fillId="0" borderId="0" pivotButton="0" quotePrefix="0" xfId="1"/>
    <xf numFmtId="3" fontId="0" fillId="0" borderId="0" pivotButton="0" quotePrefix="0" xfId="0"/>
    <xf numFmtId="0" fontId="5" fillId="0" borderId="0" applyAlignment="1" pivotButton="0" quotePrefix="0" xfId="0">
      <alignment horizontal="left"/>
    </xf>
    <xf numFmtId="0" fontId="5" fillId="0" borderId="0" applyAlignment="1" pivotButton="0" quotePrefix="0" xfId="0">
      <alignment horizontal="right"/>
    </xf>
    <xf numFmtId="0" fontId="5" fillId="0" borderId="0" pivotButton="0" quotePrefix="0" xfId="0"/>
    <xf numFmtId="166" fontId="0" fillId="0" borderId="0" pivotButton="0" quotePrefix="0" xfId="0"/>
    <xf numFmtId="3" fontId="5" fillId="0" borderId="0" pivotButton="0" quotePrefix="0" xfId="0"/>
    <xf numFmtId="167" fontId="0" fillId="0" borderId="0" pivotButton="0" quotePrefix="0" xfId="0"/>
    <xf numFmtId="4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5" fillId="0" borderId="0" applyAlignment="1" pivotButton="0" quotePrefix="0" xfId="0">
      <alignment horizontal="center"/>
    </xf>
    <xf numFmtId="166" fontId="5" fillId="0" borderId="0" pivotButton="0" quotePrefix="0" xfId="0"/>
  </cellXfs>
  <cellStyles count="2">
    <cellStyle name="Normal" xfId="0" builtinId="0"/>
    <cellStyle name="Percent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7" sqref="A7"/>
    </sheetView>
  </sheetViews>
  <sheetFormatPr baseColWidth="10" defaultRowHeight="18"/>
  <cols>
    <col width="21.83203125" customWidth="1" style="1" min="1" max="1"/>
    <col width="10.83203125" customWidth="1" style="1" min="2" max="16384"/>
  </cols>
  <sheetData>
    <row r="1">
      <c r="A1" s="1" t="inlineStr">
        <is>
          <t>Apple Inc. FCFF DCF Valuation Model</t>
        </is>
      </c>
    </row>
    <row r="2">
      <c r="A2" s="1" t="inlineStr">
        <is>
          <t>Intrinsic valuation using a 5-year FCFF forecast and terminal value approah</t>
        </is>
      </c>
    </row>
    <row r="4">
      <c r="A4" s="1" t="inlineStr">
        <is>
          <t>Company</t>
        </is>
      </c>
      <c r="B4" s="1" t="inlineStr">
        <is>
          <t>Apple Inc.</t>
        </is>
      </c>
    </row>
    <row r="5">
      <c r="A5" s="1" t="inlineStr">
        <is>
          <t>Model Date</t>
        </is>
      </c>
      <c r="B5" s="2" t="n">
        <v>46088</v>
      </c>
    </row>
    <row r="6">
      <c r="A6" s="1" t="inlineStr">
        <is>
          <t>Currency</t>
        </is>
      </c>
      <c r="B6" s="1" t="inlineStr">
        <is>
          <t>USD in millions unless stated otherwise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tabSelected="1" workbookViewId="0">
      <selection activeCell="B13" sqref="B13"/>
    </sheetView>
  </sheetViews>
  <sheetFormatPr baseColWidth="10" defaultRowHeight="16"/>
  <cols>
    <col width="25.5" bestFit="1" customWidth="1" min="1" max="1"/>
    <col width="11.1640625" bestFit="1" customWidth="1" min="2" max="2"/>
  </cols>
  <sheetData>
    <row r="1">
      <c r="B1" s="3" t="inlineStr">
        <is>
          <t>Base Year</t>
        </is>
      </c>
      <c r="C1" s="3" t="inlineStr">
        <is>
          <t>Year 1</t>
        </is>
      </c>
      <c r="D1" s="3" t="inlineStr">
        <is>
          <t>Year 2</t>
        </is>
      </c>
      <c r="E1" s="3" t="inlineStr">
        <is>
          <t>Year 3</t>
        </is>
      </c>
      <c r="F1" s="3" t="inlineStr">
        <is>
          <t>Year 4</t>
        </is>
      </c>
      <c r="G1" s="3" t="inlineStr">
        <is>
          <t>Year 5</t>
        </is>
      </c>
    </row>
    <row r="3">
      <c r="A3" s="3" t="inlineStr">
        <is>
          <t>Revenue Growth</t>
        </is>
      </c>
      <c r="B3" s="7" t="n">
        <v>416161</v>
      </c>
      <c r="C3" s="8" t="n">
        <v>0.07000000000000001</v>
      </c>
      <c r="D3" s="8" t="n">
        <v>0.06</v>
      </c>
      <c r="E3" s="8" t="n">
        <v>0.06</v>
      </c>
      <c r="F3" s="8" t="n">
        <v>0.05</v>
      </c>
      <c r="G3" s="8" t="n">
        <v>0.05</v>
      </c>
    </row>
    <row r="4">
      <c r="A4" s="3" t="inlineStr">
        <is>
          <t>EBIT Margin</t>
        </is>
      </c>
      <c r="B4" s="7" t="n">
        <v>133050</v>
      </c>
      <c r="C4" s="8" t="n">
        <v>0.31</v>
      </c>
      <c r="D4" s="8" t="n">
        <v>0.31</v>
      </c>
      <c r="E4" s="8" t="n">
        <v>0.305</v>
      </c>
      <c r="F4" s="8" t="n">
        <v>0.305</v>
      </c>
      <c r="G4" s="8" t="n">
        <v>0.3</v>
      </c>
    </row>
    <row r="5">
      <c r="A5" s="3" t="inlineStr">
        <is>
          <t>Tax Rate</t>
        </is>
      </c>
      <c r="B5" s="9" t="n">
        <v>0.156</v>
      </c>
      <c r="C5" s="8" t="n">
        <v>0.156</v>
      </c>
      <c r="D5" s="8" t="n">
        <v>0.156</v>
      </c>
      <c r="E5" s="8" t="n">
        <v>0.156</v>
      </c>
      <c r="F5" s="8" t="n">
        <v>0.156</v>
      </c>
      <c r="G5" s="8" t="n">
        <v>0.156</v>
      </c>
    </row>
    <row r="6">
      <c r="A6" s="3" t="inlineStr">
        <is>
          <t>D&amp;A as % of Revenue</t>
        </is>
      </c>
      <c r="B6" s="7" t="n">
        <v>11698</v>
      </c>
      <c r="C6" s="8" t="n">
        <v>0.028</v>
      </c>
      <c r="D6" s="8" t="n">
        <v>0.028</v>
      </c>
      <c r="E6" s="8" t="n">
        <v>0.028</v>
      </c>
      <c r="F6" s="8" t="n">
        <v>0.028</v>
      </c>
      <c r="G6" s="8" t="n">
        <v>0.028</v>
      </c>
    </row>
    <row r="7">
      <c r="A7" s="3" t="inlineStr">
        <is>
          <t>CapEx as % of Revenue</t>
        </is>
      </c>
      <c r="B7" s="7" t="n">
        <v>12715</v>
      </c>
      <c r="C7" s="8" t="n">
        <v>0.03</v>
      </c>
      <c r="D7" s="8" t="n">
        <v>0.03</v>
      </c>
      <c r="E7" s="8" t="n">
        <v>0.029</v>
      </c>
      <c r="F7" s="8" t="n">
        <v>0.029</v>
      </c>
      <c r="G7" s="8" t="n">
        <v>0.028</v>
      </c>
    </row>
    <row r="8">
      <c r="A8" s="3" t="inlineStr">
        <is>
          <t>NWC as % of Revenue</t>
        </is>
      </c>
      <c r="B8" s="8" t="n">
        <v>-0.05</v>
      </c>
      <c r="C8" s="8" t="n">
        <v>-0.05</v>
      </c>
      <c r="D8" s="8" t="n">
        <v>-0.05</v>
      </c>
      <c r="E8" s="8" t="n">
        <v>-0.05</v>
      </c>
      <c r="F8" s="8" t="n">
        <v>-0.05</v>
      </c>
      <c r="G8" s="8" t="n">
        <v>-0.05</v>
      </c>
    </row>
    <row r="9">
      <c r="A9" s="3" t="n"/>
      <c r="B9" s="4" t="n"/>
      <c r="C9" s="4" t="n"/>
      <c r="D9" s="4" t="n"/>
      <c r="E9" s="4" t="n"/>
      <c r="F9" s="4" t="n"/>
      <c r="G9" s="4" t="n"/>
    </row>
    <row r="10">
      <c r="A10" s="3" t="inlineStr">
        <is>
          <t>WACC</t>
        </is>
      </c>
      <c r="B10" s="8" t="n">
        <v>0.106</v>
      </c>
      <c r="C10" s="4" t="n"/>
      <c r="D10" s="4" t="n"/>
      <c r="E10" s="4" t="n"/>
      <c r="F10" s="4" t="n"/>
      <c r="G10" s="4" t="n"/>
    </row>
    <row r="11">
      <c r="A11" s="3" t="inlineStr">
        <is>
          <t>Terminal Growth Rate</t>
        </is>
      </c>
      <c r="B11" s="8" t="n">
        <v>0.03</v>
      </c>
      <c r="C11" s="4" t="n"/>
      <c r="D11" s="4" t="n"/>
      <c r="E11" s="4" t="n"/>
      <c r="F11" s="4" t="n"/>
      <c r="G11" s="4" t="n"/>
    </row>
    <row r="12">
      <c r="A12" s="3" t="inlineStr">
        <is>
          <t>Diluted Shares Outstanding</t>
        </is>
      </c>
      <c r="B12" s="10" t="n">
        <v>15344</v>
      </c>
      <c r="C12" s="4" t="n"/>
      <c r="D12" s="4" t="n"/>
      <c r="E12" s="4" t="n"/>
      <c r="F12" s="4" t="n"/>
      <c r="G12" s="4" t="n"/>
    </row>
    <row r="13">
      <c r="A13" s="3" t="inlineStr">
        <is>
          <t>Cash &amp; Equivalents</t>
        </is>
      </c>
      <c r="B13" s="10" t="n">
        <v>65171</v>
      </c>
      <c r="C13" s="4" t="n"/>
      <c r="D13" s="4" t="n"/>
      <c r="E13" s="4" t="n"/>
      <c r="F13" s="4" t="n"/>
      <c r="G13" s="4" t="n"/>
    </row>
    <row r="14">
      <c r="A14" s="3" t="inlineStr">
        <is>
          <t>Total Debt</t>
        </is>
      </c>
      <c r="B14" s="10" t="n">
        <v>101304</v>
      </c>
      <c r="C14" s="4" t="n"/>
      <c r="D14" s="4" t="n"/>
      <c r="E14" s="4" t="n"/>
      <c r="F14" s="4" t="n"/>
      <c r="G14" s="4" t="n"/>
    </row>
    <row r="15">
      <c r="A15" s="3" t="inlineStr">
        <is>
          <t>Net Debt</t>
        </is>
      </c>
      <c r="B15" s="10">
        <f>B14-B13</f>
        <v/>
      </c>
      <c r="C15" s="4" t="n"/>
      <c r="D15" s="4" t="n"/>
      <c r="E15" s="4" t="n"/>
      <c r="F15" s="4" t="n"/>
      <c r="G15" s="4" t="n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10" defaultRowHeight="16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1" t="inlineStr">
        <is>
          <t>(USD in millions)</t>
        </is>
      </c>
      <c r="B1" s="12" t="inlineStr">
        <is>
          <t>FY2025A</t>
        </is>
      </c>
      <c r="C1" s="12" t="inlineStr">
        <is>
          <t>FY2026E</t>
        </is>
      </c>
      <c r="D1" s="12" t="inlineStr">
        <is>
          <t>FY2027E</t>
        </is>
      </c>
      <c r="E1" s="12" t="inlineStr">
        <is>
          <t>FY2028E</t>
        </is>
      </c>
      <c r="F1" s="12" t="inlineStr">
        <is>
          <t>FY2029E</t>
        </is>
      </c>
      <c r="G1" s="12" t="inlineStr">
        <is>
          <t>FY2030E</t>
        </is>
      </c>
    </row>
    <row r="3">
      <c r="A3" s="13" t="inlineStr">
        <is>
          <t>Revenue</t>
        </is>
      </c>
      <c r="B3" s="10">
        <f>Inputs!B3</f>
        <v/>
      </c>
      <c r="C3" s="10">
        <f>B3*(1+Inputs!C3)</f>
        <v/>
      </c>
      <c r="D3" s="10">
        <f>C3*(1+Inputs!D3)</f>
        <v/>
      </c>
      <c r="E3" s="10">
        <f>D3*(1+Inputs!E3)</f>
        <v/>
      </c>
      <c r="F3" s="10">
        <f>E3*(1+Inputs!F3)</f>
        <v/>
      </c>
      <c r="G3" s="10">
        <f>F3*(1+Inputs!G3)</f>
        <v/>
      </c>
    </row>
    <row r="4">
      <c r="A4" t="inlineStr">
        <is>
          <t xml:space="preserve">  Revenue Growth %</t>
        </is>
      </c>
      <c r="C4" s="14">
        <f>Inputs!C3</f>
        <v/>
      </c>
      <c r="D4" s="14">
        <f>Inputs!D3</f>
        <v/>
      </c>
      <c r="E4" s="14">
        <f>Inputs!E3</f>
        <v/>
      </c>
      <c r="F4" s="14">
        <f>Inputs!F3</f>
        <v/>
      </c>
      <c r="G4" s="14">
        <f>Inputs!G3</f>
        <v/>
      </c>
    </row>
    <row r="6">
      <c r="A6" s="13" t="inlineStr">
        <is>
          <t>EBIT</t>
        </is>
      </c>
      <c r="B6" s="10">
        <f>Inputs!B4</f>
        <v/>
      </c>
      <c r="C6" s="10">
        <f>C3*Inputs!C4</f>
        <v/>
      </c>
      <c r="D6" s="10">
        <f>D3*Inputs!D4</f>
        <v/>
      </c>
      <c r="E6" s="10">
        <f>E3*Inputs!E4</f>
        <v/>
      </c>
      <c r="F6" s="10">
        <f>F3*Inputs!F4</f>
        <v/>
      </c>
      <c r="G6" s="10">
        <f>G3*Inputs!G4</f>
        <v/>
      </c>
    </row>
    <row r="7">
      <c r="A7" t="inlineStr">
        <is>
          <t xml:space="preserve">  EBIT Margin %</t>
        </is>
      </c>
      <c r="B7" s="14">
        <f>B6/B3</f>
        <v/>
      </c>
      <c r="C7" s="14">
        <f>Inputs!C4</f>
        <v/>
      </c>
      <c r="D7" s="14">
        <f>Inputs!D4</f>
        <v/>
      </c>
      <c r="E7" s="14">
        <f>Inputs!E4</f>
        <v/>
      </c>
      <c r="F7" s="14">
        <f>Inputs!F4</f>
        <v/>
      </c>
      <c r="G7" s="14">
        <f>Inputs!G4</f>
        <v/>
      </c>
    </row>
    <row r="9">
      <c r="A9" t="inlineStr">
        <is>
          <t xml:space="preserve">  (-) Tax on EBIT</t>
        </is>
      </c>
      <c r="B9" s="10">
        <f>-B6*Inputs!B5</f>
        <v/>
      </c>
      <c r="C9" s="10">
        <f>-C6*Inputs!C5</f>
        <v/>
      </c>
      <c r="D9" s="10">
        <f>-D6*Inputs!D5</f>
        <v/>
      </c>
      <c r="E9" s="10">
        <f>-E6*Inputs!E5</f>
        <v/>
      </c>
      <c r="F9" s="10">
        <f>-F6*Inputs!F5</f>
        <v/>
      </c>
      <c r="G9" s="10">
        <f>-G6*Inputs!G5</f>
        <v/>
      </c>
    </row>
    <row r="10">
      <c r="A10" s="13" t="inlineStr">
        <is>
          <t>NOPAT</t>
        </is>
      </c>
      <c r="B10" s="10">
        <f>B6*(1-Inputs!B5)</f>
        <v/>
      </c>
      <c r="C10" s="10">
        <f>C6*(1-Inputs!C5)</f>
        <v/>
      </c>
      <c r="D10" s="10">
        <f>D6*(1-Inputs!D5)</f>
        <v/>
      </c>
      <c r="E10" s="10">
        <f>E6*(1-Inputs!E5)</f>
        <v/>
      </c>
      <c r="F10" s="10">
        <f>F6*(1-Inputs!F5)</f>
        <v/>
      </c>
      <c r="G10" s="10">
        <f>G6*(1-Inputs!G5)</f>
        <v/>
      </c>
    </row>
    <row r="12">
      <c r="A12" s="13" t="inlineStr">
        <is>
          <t>(+) D&amp;A</t>
        </is>
      </c>
      <c r="B12" s="10">
        <f>Inputs!B6</f>
        <v/>
      </c>
      <c r="C12" s="10">
        <f>C3*Inputs!C6</f>
        <v/>
      </c>
      <c r="D12" s="10">
        <f>D3*Inputs!D6</f>
        <v/>
      </c>
      <c r="E12" s="10">
        <f>E3*Inputs!E6</f>
        <v/>
      </c>
      <c r="F12" s="10">
        <f>F3*Inputs!F6</f>
        <v/>
      </c>
      <c r="G12" s="10">
        <f>G3*Inputs!G6</f>
        <v/>
      </c>
    </row>
    <row r="13">
      <c r="A13" s="13" t="inlineStr">
        <is>
          <t>(-) Capital Expenditures</t>
        </is>
      </c>
      <c r="B13" s="10">
        <f>Inputs!B7</f>
        <v/>
      </c>
      <c r="C13" s="10">
        <f>C3*Inputs!C7</f>
        <v/>
      </c>
      <c r="D13" s="10">
        <f>D3*Inputs!D7</f>
        <v/>
      </c>
      <c r="E13" s="10">
        <f>E3*Inputs!E7</f>
        <v/>
      </c>
      <c r="F13" s="10">
        <f>F3*Inputs!F7</f>
        <v/>
      </c>
      <c r="G13" s="10">
        <f>G3*Inputs!G7</f>
        <v/>
      </c>
    </row>
    <row r="14">
      <c r="A14" t="inlineStr">
        <is>
          <t xml:space="preserve">  Net Working Capital (NWC)</t>
        </is>
      </c>
      <c r="B14" s="10">
        <f>B3*Inputs!B8</f>
        <v/>
      </c>
      <c r="C14" s="10">
        <f>C3*Inputs!C8</f>
        <v/>
      </c>
      <c r="D14" s="10">
        <f>D3*Inputs!D8</f>
        <v/>
      </c>
      <c r="E14" s="10">
        <f>E3*Inputs!E8</f>
        <v/>
      </c>
      <c r="F14" s="10">
        <f>F3*Inputs!F8</f>
        <v/>
      </c>
      <c r="G14" s="10">
        <f>G3*Inputs!G8</f>
        <v/>
      </c>
    </row>
    <row r="15">
      <c r="A15" s="13" t="inlineStr">
        <is>
          <t>(-) Δ Net Working Capital</t>
        </is>
      </c>
      <c r="C15" s="10">
        <f>C14-B14</f>
        <v/>
      </c>
      <c r="D15" s="10">
        <f>D14-C14</f>
        <v/>
      </c>
      <c r="E15" s="10">
        <f>E14-D14</f>
        <v/>
      </c>
      <c r="F15" s="10">
        <f>F14-E14</f>
        <v/>
      </c>
      <c r="G15" s="10">
        <f>G14-F14</f>
        <v/>
      </c>
    </row>
    <row r="17">
      <c r="A17" s="13" t="inlineStr">
        <is>
          <t>Free Cash Flow to Firm (FCFF)</t>
        </is>
      </c>
      <c r="C17" s="15">
        <f>C10+C12-C13-C15</f>
        <v/>
      </c>
      <c r="D17" s="15">
        <f>D10+D12-D13-D15</f>
        <v/>
      </c>
      <c r="E17" s="15">
        <f>E10+E12-E13-E15</f>
        <v/>
      </c>
      <c r="F17" s="15">
        <f>F10+F12-F13-F15</f>
        <v/>
      </c>
      <c r="G17" s="15">
        <f>G10+G12-G13-G15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10" defaultRowHeight="16"/>
  <cols>
    <col width="3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3" t="inlineStr">
        <is>
          <t>(USD in millions)</t>
        </is>
      </c>
      <c r="B1" s="12" t="inlineStr">
        <is>
          <t>Year 1</t>
        </is>
      </c>
      <c r="C1" s="12" t="inlineStr">
        <is>
          <t>Year 2</t>
        </is>
      </c>
      <c r="D1" s="12" t="inlineStr">
        <is>
          <t>Year 3</t>
        </is>
      </c>
      <c r="E1" s="12" t="inlineStr">
        <is>
          <t>Year 4</t>
        </is>
      </c>
      <c r="F1" s="12" t="inlineStr">
        <is>
          <t>Year 5</t>
        </is>
      </c>
    </row>
    <row r="3">
      <c r="A3" s="13" t="inlineStr">
        <is>
          <t>FCFF</t>
        </is>
      </c>
      <c r="B3" s="10">
        <f>Forecast!C17</f>
        <v/>
      </c>
      <c r="C3" s="10">
        <f>Forecast!D17</f>
        <v/>
      </c>
      <c r="D3" s="10">
        <f>Forecast!E17</f>
        <v/>
      </c>
      <c r="E3" s="10">
        <f>Forecast!F17</f>
        <v/>
      </c>
      <c r="F3" s="10">
        <f>Forecast!G17</f>
        <v/>
      </c>
    </row>
    <row r="4">
      <c r="A4" t="inlineStr">
        <is>
          <t>Discount Period (t)</t>
        </is>
      </c>
      <c r="B4" t="n">
        <v>1</v>
      </c>
      <c r="C4" t="n">
        <v>2</v>
      </c>
      <c r="D4" t="n">
        <v>3</v>
      </c>
      <c r="E4" t="n">
        <v>4</v>
      </c>
      <c r="F4" t="n">
        <v>5</v>
      </c>
    </row>
    <row r="5">
      <c r="A5" t="inlineStr">
        <is>
          <t>Discount Factor</t>
        </is>
      </c>
      <c r="B5" s="16">
        <f>1/(1+Inputs!$B$10)^B4</f>
        <v/>
      </c>
      <c r="C5" s="16">
        <f>1/(1+Inputs!$B$10)^C4</f>
        <v/>
      </c>
      <c r="D5" s="16">
        <f>1/(1+Inputs!$B$10)^D4</f>
        <v/>
      </c>
      <c r="E5" s="16">
        <f>1/(1+Inputs!$B$10)^E4</f>
        <v/>
      </c>
      <c r="F5" s="16">
        <f>1/(1+Inputs!$B$10)^F4</f>
        <v/>
      </c>
    </row>
    <row r="6">
      <c r="A6" s="13" t="inlineStr">
        <is>
          <t>PV of FCFF</t>
        </is>
      </c>
      <c r="B6" s="15">
        <f>B3*B5</f>
        <v/>
      </c>
      <c r="C6" s="15">
        <f>C3*C5</f>
        <v/>
      </c>
      <c r="D6" s="15">
        <f>D3*D5</f>
        <v/>
      </c>
      <c r="E6" s="15">
        <f>E3*E5</f>
        <v/>
      </c>
      <c r="F6" s="15">
        <f>F3*F5</f>
        <v/>
      </c>
    </row>
    <row r="9">
      <c r="A9" s="13" t="inlineStr">
        <is>
          <t>Sum of PV of FCFFs</t>
        </is>
      </c>
      <c r="B9" s="15">
        <f>SUM(B6:F6)</f>
        <v/>
      </c>
    </row>
    <row r="11">
      <c r="A11" t="inlineStr">
        <is>
          <t>Terminal FCFF (Year 6)</t>
        </is>
      </c>
      <c r="B11" s="10">
        <f>Forecast!G17*(1+Inputs!B11)</f>
        <v/>
      </c>
    </row>
    <row r="12">
      <c r="A12" t="inlineStr">
        <is>
          <t>Terminal Value (Gordon Growth)</t>
        </is>
      </c>
      <c r="B12" s="10">
        <f>B11/(Inputs!B10-Inputs!B11)</f>
        <v/>
      </c>
    </row>
    <row r="13">
      <c r="A13" s="13" t="inlineStr">
        <is>
          <t>PV of Terminal Value</t>
        </is>
      </c>
      <c r="B13" s="15">
        <f>B12/(1+Inputs!B10)^5</f>
        <v/>
      </c>
    </row>
    <row r="15">
      <c r="A15" s="13" t="inlineStr">
        <is>
          <t>Enterprise Value</t>
        </is>
      </c>
      <c r="B15" s="15">
        <f>B9+B13</f>
        <v/>
      </c>
    </row>
    <row r="16">
      <c r="A16" t="inlineStr">
        <is>
          <t>(-) Net Debt</t>
        </is>
      </c>
      <c r="B16" s="10">
        <f>Inputs!B15</f>
        <v/>
      </c>
    </row>
    <row r="17">
      <c r="A17" s="13" t="inlineStr">
        <is>
          <t>Equity Value</t>
        </is>
      </c>
      <c r="B17" s="15">
        <f>B15-B16</f>
        <v/>
      </c>
    </row>
    <row r="19">
      <c r="A19" t="inlineStr">
        <is>
          <t>Diluted Shares Outstanding (M)</t>
        </is>
      </c>
      <c r="B19" s="10">
        <f>Inputs!B12</f>
        <v/>
      </c>
    </row>
    <row r="20">
      <c r="A20" s="13" t="inlineStr">
        <is>
          <t>Implied Share Price ($)</t>
        </is>
      </c>
      <c r="B20" s="17">
        <f>B17/B19</f>
        <v/>
      </c>
    </row>
    <row r="22">
      <c r="A22" t="inlineStr">
        <is>
          <t>Current Market Price ($)  [update as needed]</t>
        </is>
      </c>
      <c r="B22" s="18" t="n">
        <v>220</v>
      </c>
    </row>
    <row r="23">
      <c r="A23" t="inlineStr">
        <is>
          <t>Upside / (Downside)</t>
        </is>
      </c>
      <c r="B23" s="14">
        <f>(B20-B22)/B22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H33" sqref="H33"/>
    </sheetView>
  </sheetViews>
  <sheetFormatPr baseColWidth="10" defaultRowHeight="16"/>
  <cols>
    <col width="38" customWidth="1" min="1" max="1"/>
    <col width="20" customWidth="1" min="2" max="2"/>
  </cols>
  <sheetData>
    <row r="1">
      <c r="A1" s="19" t="inlineStr">
        <is>
          <t>Valuation Summary — Apple Inc.</t>
        </is>
      </c>
    </row>
    <row r="2">
      <c r="A2" s="20" t="inlineStr">
        <is>
          <t>5-Year FCFF DCF Model (USD in millions unless noted)</t>
        </is>
      </c>
    </row>
    <row r="4">
      <c r="A4" t="inlineStr">
        <is>
          <t>Enterprise Value ($M)</t>
        </is>
      </c>
      <c r="B4" s="10">
        <f>DCF!B15</f>
        <v/>
      </c>
    </row>
    <row r="5">
      <c r="A5" t="inlineStr">
        <is>
          <t>(-) Net Debt ($M)</t>
        </is>
      </c>
      <c r="B5" s="10">
        <f>DCF!B16</f>
        <v/>
      </c>
    </row>
    <row r="6">
      <c r="A6" s="13" t="inlineStr">
        <is>
          <t>Equity Value ($M)</t>
        </is>
      </c>
      <c r="B6" s="15">
        <f>DCF!B17</f>
        <v/>
      </c>
    </row>
    <row r="8">
      <c r="A8" t="inlineStr">
        <is>
          <t>Diluted Shares Outstanding (M)</t>
        </is>
      </c>
      <c r="B8" s="10">
        <f>DCF!B19</f>
        <v/>
      </c>
    </row>
    <row r="9">
      <c r="A9" s="13" t="inlineStr">
        <is>
          <t>Implied Share Price ($)</t>
        </is>
      </c>
      <c r="B9" s="17">
        <f>DCF!B20</f>
        <v/>
      </c>
    </row>
    <row r="11">
      <c r="A11" t="inlineStr">
        <is>
          <t>Current Market Price ($)</t>
        </is>
      </c>
      <c r="B11" s="18">
        <f>DCF!B22</f>
        <v/>
      </c>
    </row>
    <row r="12">
      <c r="A12" t="inlineStr">
        <is>
          <t>Upside / (Downside)</t>
        </is>
      </c>
      <c r="B12" s="14">
        <f>DCF!B23</f>
        <v/>
      </c>
    </row>
    <row r="14">
      <c r="A14" s="13" t="inlineStr">
        <is>
          <t>Key Assumptions</t>
        </is>
      </c>
    </row>
    <row r="15">
      <c r="A15" t="inlineStr">
        <is>
          <t>WACC</t>
        </is>
      </c>
      <c r="B15" s="8">
        <f>Inputs!B10</f>
        <v/>
      </c>
    </row>
    <row r="16">
      <c r="A16" t="inlineStr">
        <is>
          <t>Terminal Growth Rate</t>
        </is>
      </c>
      <c r="B16" s="8">
        <f>Inputs!B11</f>
        <v/>
      </c>
    </row>
    <row r="17">
      <c r="A17" t="inlineStr">
        <is>
          <t>Forecast Period</t>
        </is>
      </c>
      <c r="B17" t="inlineStr">
        <is>
          <t>5 years (FY2026E–FY2030E)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10" defaultRowHeight="16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21" t="inlineStr">
        <is>
          <t>Sensitivity: Implied Share Price ($)</t>
        </is>
      </c>
    </row>
    <row r="2">
      <c r="A2" s="20" t="inlineStr">
        <is>
          <t>WACC (rows) vs. Terminal Growth Rate (columns)</t>
        </is>
      </c>
    </row>
    <row r="4">
      <c r="A4" s="13" t="inlineStr">
        <is>
          <t>WACC \ TGR</t>
        </is>
      </c>
      <c r="B4" s="22" t="n">
        <v>0.015</v>
      </c>
      <c r="C4" s="22" t="n">
        <v>0.02</v>
      </c>
      <c r="D4" s="22" t="n">
        <v>0.025</v>
      </c>
      <c r="E4" s="22" t="n">
        <v>0.03</v>
      </c>
      <c r="F4" s="22" t="n">
        <v>0.035</v>
      </c>
      <c r="G4" s="22" t="n">
        <v>0.04</v>
      </c>
    </row>
    <row r="5">
      <c r="A5" s="14" t="n">
        <v>0.09</v>
      </c>
      <c r="B5" s="18">
        <f>(Forecast!$C$17/(1+0.09)^1+Forecast!$D$17/(1+0.09)^2+Forecast!$E$17/(1+0.09)^3+Forecast!$F$17/(1+0.09)^4+Forecast!$G$17/(1+0.09)^5+Forecast!$G$17*(1+0.015)/(0.09-0.015)/(1+0.09)^5-Inputs!$B$15)/Inputs!$B$12</f>
        <v/>
      </c>
      <c r="C5" s="18">
        <f>(Forecast!$C$17/(1+0.09)^1+Forecast!$D$17/(1+0.09)^2+Forecast!$E$17/(1+0.09)^3+Forecast!$F$17/(1+0.09)^4+Forecast!$G$17/(1+0.09)^5+Forecast!$G$17*(1+0.02)/(0.09-0.02)/(1+0.09)^5-Inputs!$B$15)/Inputs!$B$12</f>
        <v/>
      </c>
      <c r="D5" s="18">
        <f>(Forecast!$C$17/(1+0.09)^1+Forecast!$D$17/(1+0.09)^2+Forecast!$E$17/(1+0.09)^3+Forecast!$F$17/(1+0.09)^4+Forecast!$G$17/(1+0.09)^5+Forecast!$G$17*(1+0.025)/(0.09-0.025)/(1+0.09)^5-Inputs!$B$15)/Inputs!$B$12</f>
        <v/>
      </c>
      <c r="E5" s="18">
        <f>(Forecast!$C$17/(1+0.09)^1+Forecast!$D$17/(1+0.09)^2+Forecast!$E$17/(1+0.09)^3+Forecast!$F$17/(1+0.09)^4+Forecast!$G$17/(1+0.09)^5+Forecast!$G$17*(1+0.03)/(0.09-0.03)/(1+0.09)^5-Inputs!$B$15)/Inputs!$B$12</f>
        <v/>
      </c>
      <c r="F5" s="18">
        <f>(Forecast!$C$17/(1+0.09)^1+Forecast!$D$17/(1+0.09)^2+Forecast!$E$17/(1+0.09)^3+Forecast!$F$17/(1+0.09)^4+Forecast!$G$17/(1+0.09)^5+Forecast!$G$17*(1+0.035)/(0.09-0.035)/(1+0.09)^5-Inputs!$B$15)/Inputs!$B$12</f>
        <v/>
      </c>
      <c r="G5" s="18">
        <f>(Forecast!$C$17/(1+0.09)^1+Forecast!$D$17/(1+0.09)^2+Forecast!$E$17/(1+0.09)^3+Forecast!$F$17/(1+0.09)^4+Forecast!$G$17/(1+0.09)^5+Forecast!$G$17*(1+0.04)/(0.09-0.04)/(1+0.09)^5-Inputs!$B$15)/Inputs!$B$12</f>
        <v/>
      </c>
    </row>
    <row r="6">
      <c r="A6" s="14" t="n">
        <v>0.095</v>
      </c>
      <c r="B6" s="18">
        <f>(Forecast!$C$17/(1+0.095)^1+Forecast!$D$17/(1+0.095)^2+Forecast!$E$17/(1+0.095)^3+Forecast!$F$17/(1+0.095)^4+Forecast!$G$17/(1+0.095)^5+Forecast!$G$17*(1+0.015)/(0.095-0.015)/(1+0.095)^5-Inputs!$B$15)/Inputs!$B$12</f>
        <v/>
      </c>
      <c r="C6" s="18">
        <f>(Forecast!$C$17/(1+0.095)^1+Forecast!$D$17/(1+0.095)^2+Forecast!$E$17/(1+0.095)^3+Forecast!$F$17/(1+0.095)^4+Forecast!$G$17/(1+0.095)^5+Forecast!$G$17*(1+0.02)/(0.095-0.02)/(1+0.095)^5-Inputs!$B$15)/Inputs!$B$12</f>
        <v/>
      </c>
      <c r="D6" s="18">
        <f>(Forecast!$C$17/(1+0.095)^1+Forecast!$D$17/(1+0.095)^2+Forecast!$E$17/(1+0.095)^3+Forecast!$F$17/(1+0.095)^4+Forecast!$G$17/(1+0.095)^5+Forecast!$G$17*(1+0.025)/(0.095-0.025)/(1+0.095)^5-Inputs!$B$15)/Inputs!$B$12</f>
        <v/>
      </c>
      <c r="E6" s="18">
        <f>(Forecast!$C$17/(1+0.095)^1+Forecast!$D$17/(1+0.095)^2+Forecast!$E$17/(1+0.095)^3+Forecast!$F$17/(1+0.095)^4+Forecast!$G$17/(1+0.095)^5+Forecast!$G$17*(1+0.03)/(0.095-0.03)/(1+0.095)^5-Inputs!$B$15)/Inputs!$B$12</f>
        <v/>
      </c>
      <c r="F6" s="18">
        <f>(Forecast!$C$17/(1+0.095)^1+Forecast!$D$17/(1+0.095)^2+Forecast!$E$17/(1+0.095)^3+Forecast!$F$17/(1+0.095)^4+Forecast!$G$17/(1+0.095)^5+Forecast!$G$17*(1+0.035)/(0.095-0.035)/(1+0.095)^5-Inputs!$B$15)/Inputs!$B$12</f>
        <v/>
      </c>
      <c r="G6" s="18">
        <f>(Forecast!$C$17/(1+0.095)^1+Forecast!$D$17/(1+0.095)^2+Forecast!$E$17/(1+0.095)^3+Forecast!$F$17/(1+0.095)^4+Forecast!$G$17/(1+0.095)^5+Forecast!$G$17*(1+0.04)/(0.095-0.04)/(1+0.095)^5-Inputs!$B$15)/Inputs!$B$12</f>
        <v/>
      </c>
    </row>
    <row r="7">
      <c r="A7" s="14" t="n">
        <v>0.1</v>
      </c>
      <c r="B7" s="18">
        <f>(Forecast!$C$17/(1+0.1)^1+Forecast!$D$17/(1+0.1)^2+Forecast!$E$17/(1+0.1)^3+Forecast!$F$17/(1+0.1)^4+Forecast!$G$17/(1+0.1)^5+Forecast!$G$17*(1+0.015)/(0.1-0.015)/(1+0.1)^5-Inputs!$B$15)/Inputs!$B$12</f>
        <v/>
      </c>
      <c r="C7" s="18">
        <f>(Forecast!$C$17/(1+0.1)^1+Forecast!$D$17/(1+0.1)^2+Forecast!$E$17/(1+0.1)^3+Forecast!$F$17/(1+0.1)^4+Forecast!$G$17/(1+0.1)^5+Forecast!$G$17*(1+0.02)/(0.1-0.02)/(1+0.1)^5-Inputs!$B$15)/Inputs!$B$12</f>
        <v/>
      </c>
      <c r="D7" s="18">
        <f>(Forecast!$C$17/(1+0.1)^1+Forecast!$D$17/(1+0.1)^2+Forecast!$E$17/(1+0.1)^3+Forecast!$F$17/(1+0.1)^4+Forecast!$G$17/(1+0.1)^5+Forecast!$G$17*(1+0.025)/(0.1-0.025)/(1+0.1)^5-Inputs!$B$15)/Inputs!$B$12</f>
        <v/>
      </c>
      <c r="E7" s="18">
        <f>(Forecast!$C$17/(1+0.1)^1+Forecast!$D$17/(1+0.1)^2+Forecast!$E$17/(1+0.1)^3+Forecast!$F$17/(1+0.1)^4+Forecast!$G$17/(1+0.1)^5+Forecast!$G$17*(1+0.03)/(0.1-0.03)/(1+0.1)^5-Inputs!$B$15)/Inputs!$B$12</f>
        <v/>
      </c>
      <c r="F7" s="18">
        <f>(Forecast!$C$17/(1+0.1)^1+Forecast!$D$17/(1+0.1)^2+Forecast!$E$17/(1+0.1)^3+Forecast!$F$17/(1+0.1)^4+Forecast!$G$17/(1+0.1)^5+Forecast!$G$17*(1+0.035)/(0.1-0.035)/(1+0.1)^5-Inputs!$B$15)/Inputs!$B$12</f>
        <v/>
      </c>
      <c r="G7" s="18">
        <f>(Forecast!$C$17/(1+0.1)^1+Forecast!$D$17/(1+0.1)^2+Forecast!$E$17/(1+0.1)^3+Forecast!$F$17/(1+0.1)^4+Forecast!$G$17/(1+0.1)^5+Forecast!$G$17*(1+0.04)/(0.1-0.04)/(1+0.1)^5-Inputs!$B$15)/Inputs!$B$12</f>
        <v/>
      </c>
    </row>
    <row r="8">
      <c r="A8" s="23" t="n">
        <v>0.106</v>
      </c>
      <c r="B8" s="18">
        <f>(Forecast!$C$17/(1+0.106)^1+Forecast!$D$17/(1+0.106)^2+Forecast!$E$17/(1+0.106)^3+Forecast!$F$17/(1+0.106)^4+Forecast!$G$17/(1+0.106)^5+Forecast!$G$17*(1+0.015)/(0.106-0.015)/(1+0.106)^5-Inputs!$B$15)/Inputs!$B$12</f>
        <v/>
      </c>
      <c r="C8" s="18">
        <f>(Forecast!$C$17/(1+0.106)^1+Forecast!$D$17/(1+0.106)^2+Forecast!$E$17/(1+0.106)^3+Forecast!$F$17/(1+0.106)^4+Forecast!$G$17/(1+0.106)^5+Forecast!$G$17*(1+0.02)/(0.106-0.02)/(1+0.106)^5-Inputs!$B$15)/Inputs!$B$12</f>
        <v/>
      </c>
      <c r="D8" s="18">
        <f>(Forecast!$C$17/(1+0.106)^1+Forecast!$D$17/(1+0.106)^2+Forecast!$E$17/(1+0.106)^3+Forecast!$F$17/(1+0.106)^4+Forecast!$G$17/(1+0.106)^5+Forecast!$G$17*(1+0.025)/(0.106-0.025)/(1+0.106)^5-Inputs!$B$15)/Inputs!$B$12</f>
        <v/>
      </c>
      <c r="E8" s="17">
        <f>(Forecast!$C$17/(1+0.106)^1+Forecast!$D$17/(1+0.106)^2+Forecast!$E$17/(1+0.106)^3+Forecast!$F$17/(1+0.106)^4+Forecast!$G$17/(1+0.106)^5+Forecast!$G$17*(1+0.03)/(0.106-0.03)/(1+0.106)^5-Inputs!$B$15)/Inputs!$B$12</f>
        <v/>
      </c>
      <c r="F8" s="18">
        <f>(Forecast!$C$17/(1+0.106)^1+Forecast!$D$17/(1+0.106)^2+Forecast!$E$17/(1+0.106)^3+Forecast!$F$17/(1+0.106)^4+Forecast!$G$17/(1+0.106)^5+Forecast!$G$17*(1+0.035)/(0.106-0.035)/(1+0.106)^5-Inputs!$B$15)/Inputs!$B$12</f>
        <v/>
      </c>
      <c r="G8" s="18">
        <f>(Forecast!$C$17/(1+0.106)^1+Forecast!$D$17/(1+0.106)^2+Forecast!$E$17/(1+0.106)^3+Forecast!$F$17/(1+0.106)^4+Forecast!$G$17/(1+0.106)^5+Forecast!$G$17*(1+0.04)/(0.106-0.04)/(1+0.106)^5-Inputs!$B$15)/Inputs!$B$12</f>
        <v/>
      </c>
    </row>
    <row r="9">
      <c r="A9" s="14" t="n">
        <v>0.11</v>
      </c>
      <c r="B9" s="18">
        <f>(Forecast!$C$17/(1+0.11)^1+Forecast!$D$17/(1+0.11)^2+Forecast!$E$17/(1+0.11)^3+Forecast!$F$17/(1+0.11)^4+Forecast!$G$17/(1+0.11)^5+Forecast!$G$17*(1+0.015)/(0.11-0.015)/(1+0.11)^5-Inputs!$B$15)/Inputs!$B$12</f>
        <v/>
      </c>
      <c r="C9" s="18">
        <f>(Forecast!$C$17/(1+0.11)^1+Forecast!$D$17/(1+0.11)^2+Forecast!$E$17/(1+0.11)^3+Forecast!$F$17/(1+0.11)^4+Forecast!$G$17/(1+0.11)^5+Forecast!$G$17*(1+0.02)/(0.11-0.02)/(1+0.11)^5-Inputs!$B$15)/Inputs!$B$12</f>
        <v/>
      </c>
      <c r="D9" s="18">
        <f>(Forecast!$C$17/(1+0.11)^1+Forecast!$D$17/(1+0.11)^2+Forecast!$E$17/(1+0.11)^3+Forecast!$F$17/(1+0.11)^4+Forecast!$G$17/(1+0.11)^5+Forecast!$G$17*(1+0.025)/(0.11-0.025)/(1+0.11)^5-Inputs!$B$15)/Inputs!$B$12</f>
        <v/>
      </c>
      <c r="E9" s="18">
        <f>(Forecast!$C$17/(1+0.11)^1+Forecast!$D$17/(1+0.11)^2+Forecast!$E$17/(1+0.11)^3+Forecast!$F$17/(1+0.11)^4+Forecast!$G$17/(1+0.11)^5+Forecast!$G$17*(1+0.03)/(0.11-0.03)/(1+0.11)^5-Inputs!$B$15)/Inputs!$B$12</f>
        <v/>
      </c>
      <c r="F9" s="18">
        <f>(Forecast!$C$17/(1+0.11)^1+Forecast!$D$17/(1+0.11)^2+Forecast!$E$17/(1+0.11)^3+Forecast!$F$17/(1+0.11)^4+Forecast!$G$17/(1+0.11)^5+Forecast!$G$17*(1+0.035)/(0.11-0.035)/(1+0.11)^5-Inputs!$B$15)/Inputs!$B$12</f>
        <v/>
      </c>
      <c r="G9" s="18">
        <f>(Forecast!$C$17/(1+0.11)^1+Forecast!$D$17/(1+0.11)^2+Forecast!$E$17/(1+0.11)^3+Forecast!$F$17/(1+0.11)^4+Forecast!$G$17/(1+0.11)^5+Forecast!$G$17*(1+0.04)/(0.11-0.04)/(1+0.11)^5-Inputs!$B$15)/Inputs!$B$12</f>
        <v/>
      </c>
    </row>
    <row r="10">
      <c r="A10" s="14" t="n">
        <v>0.115</v>
      </c>
      <c r="B10" s="18">
        <f>(Forecast!$C$17/(1+0.115)^1+Forecast!$D$17/(1+0.115)^2+Forecast!$E$17/(1+0.115)^3+Forecast!$F$17/(1+0.115)^4+Forecast!$G$17/(1+0.115)^5+Forecast!$G$17*(1+0.015)/(0.115-0.015)/(1+0.115)^5-Inputs!$B$15)/Inputs!$B$12</f>
        <v/>
      </c>
      <c r="C10" s="18">
        <f>(Forecast!$C$17/(1+0.115)^1+Forecast!$D$17/(1+0.115)^2+Forecast!$E$17/(1+0.115)^3+Forecast!$F$17/(1+0.115)^4+Forecast!$G$17/(1+0.115)^5+Forecast!$G$17*(1+0.02)/(0.115-0.02)/(1+0.115)^5-Inputs!$B$15)/Inputs!$B$12</f>
        <v/>
      </c>
      <c r="D10" s="18">
        <f>(Forecast!$C$17/(1+0.115)^1+Forecast!$D$17/(1+0.115)^2+Forecast!$E$17/(1+0.115)^3+Forecast!$F$17/(1+0.115)^4+Forecast!$G$17/(1+0.115)^5+Forecast!$G$17*(1+0.025)/(0.115-0.025)/(1+0.115)^5-Inputs!$B$15)/Inputs!$B$12</f>
        <v/>
      </c>
      <c r="E10" s="18">
        <f>(Forecast!$C$17/(1+0.115)^1+Forecast!$D$17/(1+0.115)^2+Forecast!$E$17/(1+0.115)^3+Forecast!$F$17/(1+0.115)^4+Forecast!$G$17/(1+0.115)^5+Forecast!$G$17*(1+0.03)/(0.115-0.03)/(1+0.115)^5-Inputs!$B$15)/Inputs!$B$12</f>
        <v/>
      </c>
      <c r="F10" s="18">
        <f>(Forecast!$C$17/(1+0.115)^1+Forecast!$D$17/(1+0.115)^2+Forecast!$E$17/(1+0.115)^3+Forecast!$F$17/(1+0.115)^4+Forecast!$G$17/(1+0.115)^5+Forecast!$G$17*(1+0.035)/(0.115-0.035)/(1+0.115)^5-Inputs!$B$15)/Inputs!$B$12</f>
        <v/>
      </c>
      <c r="G10" s="18">
        <f>(Forecast!$C$17/(1+0.115)^1+Forecast!$D$17/(1+0.115)^2+Forecast!$E$17/(1+0.115)^3+Forecast!$F$17/(1+0.115)^4+Forecast!$G$17/(1+0.115)^5+Forecast!$G$17*(1+0.04)/(0.115-0.04)/(1+0.115)^5-Inputs!$B$15)/Inputs!$B$12</f>
        <v/>
      </c>
    </row>
    <row r="11">
      <c r="A11" s="14" t="n">
        <v>0.12</v>
      </c>
      <c r="B11" s="18">
        <f>(Forecast!$C$17/(1+0.12)^1+Forecast!$D$17/(1+0.12)^2+Forecast!$E$17/(1+0.12)^3+Forecast!$F$17/(1+0.12)^4+Forecast!$G$17/(1+0.12)^5+Forecast!$G$17*(1+0.015)/(0.12-0.015)/(1+0.12)^5-Inputs!$B$15)/Inputs!$B$12</f>
        <v/>
      </c>
      <c r="C11" s="18">
        <f>(Forecast!$C$17/(1+0.12)^1+Forecast!$D$17/(1+0.12)^2+Forecast!$E$17/(1+0.12)^3+Forecast!$F$17/(1+0.12)^4+Forecast!$G$17/(1+0.12)^5+Forecast!$G$17*(1+0.02)/(0.12-0.02)/(1+0.12)^5-Inputs!$B$15)/Inputs!$B$12</f>
        <v/>
      </c>
      <c r="D11" s="18">
        <f>(Forecast!$C$17/(1+0.12)^1+Forecast!$D$17/(1+0.12)^2+Forecast!$E$17/(1+0.12)^3+Forecast!$F$17/(1+0.12)^4+Forecast!$G$17/(1+0.12)^5+Forecast!$G$17*(1+0.025)/(0.12-0.025)/(1+0.12)^5-Inputs!$B$15)/Inputs!$B$12</f>
        <v/>
      </c>
      <c r="E11" s="18">
        <f>(Forecast!$C$17/(1+0.12)^1+Forecast!$D$17/(1+0.12)^2+Forecast!$E$17/(1+0.12)^3+Forecast!$F$17/(1+0.12)^4+Forecast!$G$17/(1+0.12)^5+Forecast!$G$17*(1+0.03)/(0.12-0.03)/(1+0.12)^5-Inputs!$B$15)/Inputs!$B$12</f>
        <v/>
      </c>
      <c r="F11" s="18">
        <f>(Forecast!$C$17/(1+0.12)^1+Forecast!$D$17/(1+0.12)^2+Forecast!$E$17/(1+0.12)^3+Forecast!$F$17/(1+0.12)^4+Forecast!$G$17/(1+0.12)^5+Forecast!$G$17*(1+0.035)/(0.12-0.035)/(1+0.12)^5-Inputs!$B$15)/Inputs!$B$12</f>
        <v/>
      </c>
      <c r="G11" s="18">
        <f>(Forecast!$C$17/(1+0.12)^1+Forecast!$D$17/(1+0.12)^2+Forecast!$E$17/(1+0.12)^3+Forecast!$F$17/(1+0.12)^4+Forecast!$G$17/(1+0.12)^5+Forecast!$G$17*(1+0.04)/(0.12-0.04)/(1+0.12)^5-Inputs!$B$15)/Inputs!$B$12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Talati,Shyam</dc:creator>
  <dcterms:created xsi:type="dcterms:W3CDTF">2026-03-07T16:28:23Z</dcterms:created>
  <dcterms:modified xsi:type="dcterms:W3CDTF">2026-03-26T00:31:22Z</dcterms:modified>
  <cp:lastModifiedBy>Talati,Shyam</cp:lastModifiedBy>
</cp:coreProperties>
</file>